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2023" sheetId="7" r:id="rId1"/>
    <sheet name="2024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<sst xmlns="http://schemas.openxmlformats.org/spreadsheetml/2006/main" count="160" uniqueCount="69">
  <si>
    <t>进贤县2023年农业生产托管稻谷烘干补助资金明细公示表</t>
  </si>
  <si>
    <t>序号</t>
  </si>
  <si>
    <t>单位</t>
  </si>
  <si>
    <t>乡镇名称</t>
  </si>
  <si>
    <t>站人员监管数（吨）</t>
  </si>
  <si>
    <t>用电量（度）</t>
  </si>
  <si>
    <t>每吨用电量计算结果（度/吨</t>
  </si>
  <si>
    <t>按电计算数量（吨）</t>
  </si>
  <si>
    <t>最终确定数（吨）</t>
  </si>
  <si>
    <r>
      <rPr>
        <b/>
        <sz val="10"/>
        <rFont val="宋体"/>
        <charset val="134"/>
      </rPr>
      <t>补助资金按9.3元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吨计算（元）</t>
    </r>
  </si>
  <si>
    <t>早中晚稻</t>
  </si>
  <si>
    <t>进贤县彬鑫种养专业合作社</t>
  </si>
  <si>
    <t>白圩</t>
  </si>
  <si>
    <t>进贤县志乐种养专业合作社</t>
  </si>
  <si>
    <t>二塘</t>
  </si>
  <si>
    <t>江西德昌农业开发有限公司</t>
  </si>
  <si>
    <t>李渡</t>
  </si>
  <si>
    <t>江西省三胜稻谷烘干有限公司</t>
  </si>
  <si>
    <t>进贤县梅庄恒昌农民专业合作社</t>
  </si>
  <si>
    <t>梅庄</t>
  </si>
  <si>
    <t>进贤县上甘殿富兴家庭农场</t>
  </si>
  <si>
    <t>江西正好农业发展有限公司</t>
  </si>
  <si>
    <t>民和</t>
  </si>
  <si>
    <t>进贤县新一代种养专业合作社</t>
  </si>
  <si>
    <t>进贤县万氏米业有限公司</t>
  </si>
  <si>
    <t>进贤县帮农种养专业合作社</t>
  </si>
  <si>
    <t>进贤县根仂朗种养专业合作社</t>
  </si>
  <si>
    <t>进贤县捉牛岗粮农农民专业合作社</t>
  </si>
  <si>
    <t>进贤县悦欣阳种养专业合作社</t>
  </si>
  <si>
    <t>前坊</t>
  </si>
  <si>
    <t>进贤县东亮水稻种植专业合作社</t>
  </si>
  <si>
    <t>泉岭</t>
  </si>
  <si>
    <t>进贤县泉岭海华种养专业合作社</t>
  </si>
  <si>
    <t>进贤县三里欢民农民专业合作社</t>
  </si>
  <si>
    <t>三里</t>
  </si>
  <si>
    <t>江西省仓满丰稻谷烘干有限公司</t>
  </si>
  <si>
    <t>温圳</t>
  </si>
  <si>
    <t>进贤县文港前途粮食烘干专业合作社</t>
  </si>
  <si>
    <t>文港</t>
  </si>
  <si>
    <t>江西乐氏米业有限公司</t>
  </si>
  <si>
    <t>下埠</t>
  </si>
  <si>
    <t>南昌市兵云粮油收购有限公司</t>
  </si>
  <si>
    <t>南昌市福伟米业有限公司</t>
  </si>
  <si>
    <t>进贤县武章种养专业合作社</t>
  </si>
  <si>
    <t>张公</t>
  </si>
  <si>
    <t>进贤县城皇农业专业合作社</t>
  </si>
  <si>
    <t>长山</t>
  </si>
  <si>
    <t>江西腾鹏实业有限公司</t>
  </si>
  <si>
    <t>钟陵</t>
  </si>
  <si>
    <t>南昌市飞平农业发展有限公司</t>
  </si>
  <si>
    <t>架桥</t>
  </si>
  <si>
    <t>进贤县伍都种养专业合作社</t>
  </si>
  <si>
    <t>进贤县福顺粮食烘干有限公司</t>
  </si>
  <si>
    <t>进贤县钟陵隆兴农机专业合作社</t>
  </si>
  <si>
    <t>进贤县龙平种养专业合作社</t>
  </si>
  <si>
    <t>池溪</t>
  </si>
  <si>
    <t>南昌子辉种植专业合作社</t>
  </si>
  <si>
    <t>进贤县胡丹娥种养殖专业合作社</t>
  </si>
  <si>
    <t>公示时间2024年1月25-2月2日</t>
  </si>
  <si>
    <t>投诉电话：0791-85669069</t>
  </si>
  <si>
    <t>进贤县2024年农业生产托管稻谷烘干补助资金明细公示表</t>
  </si>
  <si>
    <t>小农户数量（吨）</t>
  </si>
  <si>
    <t>规模经营主体（吨）</t>
  </si>
  <si>
    <r>
      <rPr>
        <b/>
        <sz val="10"/>
        <rFont val="宋体"/>
        <charset val="134"/>
      </rPr>
      <t>补助资金小农户按9.6659元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吨，规模经营主体8.6659元/吨计算</t>
    </r>
  </si>
  <si>
    <t>进贤县钟陵隆兴农民专业合作社</t>
  </si>
  <si>
    <t>进贤县德晟农业有限公司</t>
  </si>
  <si>
    <t>三阳</t>
  </si>
  <si>
    <t>合计：</t>
  </si>
  <si>
    <t>公示时间2024年5月20-5月26日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</si>
</sst>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0"/>
      <name val="仿宋_GB2312"/>
      <charset val="134"/>
    </font>
    <font>
      <b/>
      <sz val="9"/>
      <name val="仿宋_GB2312"/>
      <charset val="134"/>
    </font>
    <font>
      <sz val="9"/>
      <name val="Times New Roman"/>
      <charset val="134"/>
    </font>
    <font>
      <sz val="12"/>
      <color theme="1"/>
      <name val="仿宋_GB2312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176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177" fontId="1" fillId="0" borderId="0" xfId="0" applyNumberFormat="1" applyFont="1" applyFill="1" applyAlignment="1"/>
    <xf numFmtId="177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/>
    <xf numFmtId="177" fontId="1" fillId="0" borderId="4" xfId="0" applyNumberFormat="1" applyFont="1" applyFill="1" applyBorder="1" applyAlignment="1"/>
    <xf numFmtId="0" fontId="7" fillId="0" borderId="7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 wrapText="1"/>
    </xf>
    <xf numFmtId="177" fontId="8" fillId="0" borderId="8" xfId="0" applyNumberFormat="1" applyFont="1" applyFill="1" applyBorder="1" applyAlignment="1">
      <alignment horizontal="center" vertical="center" wrapText="1"/>
    </xf>
    <xf numFmtId="177" fontId="8" fillId="0" borderId="9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177" fontId="4" fillId="0" borderId="3" xfId="0" applyNumberFormat="1" applyFont="1" applyFill="1" applyBorder="1" applyAlignment="1">
      <alignment horizontal="right" vertical="center" wrapText="1"/>
    </xf>
    <xf numFmtId="177" fontId="4" fillId="0" borderId="0" xfId="0" applyNumberFormat="1" applyFont="1" applyFill="1" applyBorder="1" applyAlignment="1">
      <alignment horizontal="right" vertical="center" wrapText="1"/>
    </xf>
    <xf numFmtId="177" fontId="8" fillId="0" borderId="10" xfId="0" applyNumberFormat="1" applyFont="1" applyFill="1" applyBorder="1" applyAlignment="1">
      <alignment horizontal="center" vertical="center" wrapText="1"/>
    </xf>
    <xf numFmtId="177" fontId="8" fillId="0" borderId="1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9" workbookViewId="0">
      <selection activeCell="A1" sqref="$A1:$XFD1048576"/>
    </sheetView>
  </sheetViews>
  <sheetFormatPr defaultColWidth="9" defaultRowHeight="14.25"/>
  <cols>
    <col min="1" max="1" width="4.875" style="1" customWidth="1"/>
    <col min="2" max="2" width="19.375" style="4" customWidth="1"/>
    <col min="3" max="3" width="10" style="1" customWidth="1"/>
    <col min="4" max="4" width="9.75" style="1" customWidth="1"/>
    <col min="5" max="5" width="9.125" style="5" customWidth="1"/>
    <col min="6" max="6" width="11.375" style="6" customWidth="1"/>
    <col min="7" max="7" width="13.125" style="7" customWidth="1"/>
    <col min="8" max="8" width="14.875" style="8" customWidth="1"/>
    <col min="9" max="9" width="15.5" style="7" customWidth="1"/>
    <col min="10" max="10" width="9" style="1"/>
    <col min="11" max="11" width="12.625" style="1"/>
    <col min="12" max="16384" width="9" style="1"/>
  </cols>
  <sheetData>
    <row r="1" s="1" customFormat="1" ht="26.25" spans="1:9">
      <c r="A1" s="9" t="s">
        <v>0</v>
      </c>
      <c r="B1" s="9"/>
      <c r="C1" s="9"/>
      <c r="D1" s="9"/>
      <c r="E1" s="9"/>
      <c r="F1" s="9"/>
      <c r="G1" s="9"/>
      <c r="H1" s="31"/>
      <c r="I1" s="32"/>
    </row>
    <row r="2" s="1" customFormat="1" ht="39" customHeight="1" spans="1:9">
      <c r="A2" s="10" t="s">
        <v>1</v>
      </c>
      <c r="B2" s="11" t="s">
        <v>2</v>
      </c>
      <c r="C2" s="10" t="s">
        <v>3</v>
      </c>
      <c r="D2" s="12" t="s">
        <v>4</v>
      </c>
      <c r="E2" s="13" t="s">
        <v>5</v>
      </c>
      <c r="F2" s="10" t="s">
        <v>6</v>
      </c>
      <c r="G2" s="13" t="s">
        <v>7</v>
      </c>
      <c r="H2" s="38" t="s">
        <v>8</v>
      </c>
      <c r="I2" s="40" t="s">
        <v>9</v>
      </c>
    </row>
    <row r="3" s="1" customFormat="1" ht="30.75" customHeight="1" spans="1:9">
      <c r="A3" s="15"/>
      <c r="B3" s="16"/>
      <c r="C3" s="15"/>
      <c r="D3" s="17" t="s">
        <v>10</v>
      </c>
      <c r="E3" s="17" t="s">
        <v>10</v>
      </c>
      <c r="F3" s="15"/>
      <c r="G3" s="17" t="s">
        <v>10</v>
      </c>
      <c r="H3" s="39" t="s">
        <v>10</v>
      </c>
      <c r="I3" s="41"/>
    </row>
    <row r="4" s="2" customFormat="1" ht="25" customHeight="1" spans="1:9">
      <c r="A4" s="19">
        <v>1</v>
      </c>
      <c r="B4" s="20" t="s">
        <v>11</v>
      </c>
      <c r="C4" s="20" t="s">
        <v>12</v>
      </c>
      <c r="D4" s="21">
        <f>7381.3+10022.4</f>
        <v>17403.7</v>
      </c>
      <c r="E4" s="22">
        <v>67201.2</v>
      </c>
      <c r="F4" s="23">
        <v>7.2</v>
      </c>
      <c r="G4" s="24">
        <f>E4/F4</f>
        <v>9333.5</v>
      </c>
      <c r="H4" s="36">
        <v>9333.5</v>
      </c>
      <c r="I4" s="24">
        <v>86831.9696334968</v>
      </c>
    </row>
    <row r="5" s="2" customFormat="1" ht="25" customHeight="1" spans="1:9">
      <c r="A5" s="19">
        <v>2</v>
      </c>
      <c r="B5" s="20" t="s">
        <v>13</v>
      </c>
      <c r="C5" s="19" t="s">
        <v>14</v>
      </c>
      <c r="D5" s="19">
        <f>3083.98+3002.05</f>
        <v>6086.03</v>
      </c>
      <c r="E5" s="25">
        <v>31527.6</v>
      </c>
      <c r="F5" s="19">
        <v>4.34</v>
      </c>
      <c r="G5" s="24">
        <f t="shared" ref="G5:G35" si="0">E5/F5</f>
        <v>7264.42396313364</v>
      </c>
      <c r="H5" s="36">
        <f>3083.98+3002.05</f>
        <v>6086.03</v>
      </c>
      <c r="I5" s="24">
        <v>56619.9145174426</v>
      </c>
    </row>
    <row r="6" s="2" customFormat="1" ht="25" customHeight="1" spans="1:9">
      <c r="A6" s="19">
        <v>3</v>
      </c>
      <c r="B6" s="20" t="s">
        <v>15</v>
      </c>
      <c r="C6" s="20" t="s">
        <v>16</v>
      </c>
      <c r="D6" s="25">
        <f>6768.63+8956.07</f>
        <v>15724.7</v>
      </c>
      <c r="E6" s="25">
        <v>80124</v>
      </c>
      <c r="F6" s="25">
        <v>8</v>
      </c>
      <c r="G6" s="24">
        <f t="shared" si="0"/>
        <v>10015.5</v>
      </c>
      <c r="H6" s="36">
        <v>10015.5</v>
      </c>
      <c r="I6" s="24">
        <v>93176.7923998808</v>
      </c>
    </row>
    <row r="7" s="2" customFormat="1" ht="25" customHeight="1" spans="1:9">
      <c r="A7" s="19">
        <v>4</v>
      </c>
      <c r="B7" s="20" t="s">
        <v>17</v>
      </c>
      <c r="C7" s="19" t="s">
        <v>16</v>
      </c>
      <c r="D7" s="24">
        <f>4522.71+4439.77</f>
        <v>8962.48</v>
      </c>
      <c r="E7" s="25">
        <v>51424.8</v>
      </c>
      <c r="F7" s="19">
        <v>6.92</v>
      </c>
      <c r="G7" s="24">
        <f t="shared" si="0"/>
        <v>7431.32947976879</v>
      </c>
      <c r="H7" s="36">
        <v>7431.32947976879</v>
      </c>
      <c r="I7" s="24">
        <v>69135.5842635446</v>
      </c>
    </row>
    <row r="8" s="2" customFormat="1" ht="25" customHeight="1" spans="1:9">
      <c r="A8" s="19">
        <v>5</v>
      </c>
      <c r="B8" s="20" t="s">
        <v>18</v>
      </c>
      <c r="C8" s="20" t="s">
        <v>19</v>
      </c>
      <c r="D8" s="19">
        <f>5499.015+5400.19+2193.205</f>
        <v>13092.41</v>
      </c>
      <c r="E8" s="19">
        <v>102632.4</v>
      </c>
      <c r="F8" s="19">
        <v>6.5</v>
      </c>
      <c r="G8" s="24">
        <f t="shared" si="0"/>
        <v>15789.6</v>
      </c>
      <c r="H8" s="36">
        <v>13092.41</v>
      </c>
      <c r="I8" s="24">
        <v>121802.083628788</v>
      </c>
    </row>
    <row r="9" s="2" customFormat="1" ht="25" customHeight="1" spans="1:9">
      <c r="A9" s="19">
        <v>6</v>
      </c>
      <c r="B9" s="20" t="s">
        <v>20</v>
      </c>
      <c r="C9" s="19" t="s">
        <v>19</v>
      </c>
      <c r="D9" s="24">
        <f>3195.9+3175.09</f>
        <v>6370.99</v>
      </c>
      <c r="E9" s="25">
        <v>17936</v>
      </c>
      <c r="F9" s="19">
        <v>4.34</v>
      </c>
      <c r="G9" s="24">
        <f t="shared" si="0"/>
        <v>4132.71889400922</v>
      </c>
      <c r="H9" s="36">
        <v>4132.71889400922</v>
      </c>
      <c r="I9" s="24">
        <v>38447.7550231303</v>
      </c>
    </row>
    <row r="10" s="2" customFormat="1" ht="25" customHeight="1" spans="1:9">
      <c r="A10" s="19">
        <v>7</v>
      </c>
      <c r="B10" s="20" t="s">
        <v>21</v>
      </c>
      <c r="C10" s="20" t="s">
        <v>22</v>
      </c>
      <c r="D10" s="24">
        <f>2277.27+2384.74+2169.92</f>
        <v>6831.93</v>
      </c>
      <c r="E10" s="24">
        <v>28316.8</v>
      </c>
      <c r="F10" s="24">
        <v>7.5</v>
      </c>
      <c r="G10" s="24">
        <f t="shared" si="0"/>
        <v>3775.57333333333</v>
      </c>
      <c r="H10" s="36">
        <v>3775.57333333333</v>
      </c>
      <c r="I10" s="24">
        <v>35125.137304231</v>
      </c>
    </row>
    <row r="11" s="2" customFormat="1" ht="25" customHeight="1" spans="1:9">
      <c r="A11" s="19">
        <v>8</v>
      </c>
      <c r="B11" s="20" t="s">
        <v>23</v>
      </c>
      <c r="C11" s="19" t="s">
        <v>22</v>
      </c>
      <c r="D11" s="24">
        <f>16448.42+11904.44</f>
        <v>28352.86</v>
      </c>
      <c r="E11" s="25">
        <v>231766.8</v>
      </c>
      <c r="F11" s="19">
        <v>7.2</v>
      </c>
      <c r="G11" s="24">
        <f t="shared" si="0"/>
        <v>32189.8333333333</v>
      </c>
      <c r="H11" s="36">
        <f>16448.42+11904.44</f>
        <v>28352.86</v>
      </c>
      <c r="I11" s="24">
        <v>263774.005308061</v>
      </c>
    </row>
    <row r="12" s="2" customFormat="1" ht="25" customHeight="1" spans="1:9">
      <c r="A12" s="19">
        <v>9</v>
      </c>
      <c r="B12" s="20" t="s">
        <v>24</v>
      </c>
      <c r="C12" s="19" t="s">
        <v>22</v>
      </c>
      <c r="D12" s="24">
        <f>4963.82+4986.82</f>
        <v>9950.64</v>
      </c>
      <c r="E12" s="25">
        <v>65800.4</v>
      </c>
      <c r="F12" s="19">
        <v>7.2</v>
      </c>
      <c r="G12" s="24">
        <f t="shared" si="0"/>
        <v>9138.94444444444</v>
      </c>
      <c r="H12" s="36">
        <v>9138.94444444444</v>
      </c>
      <c r="I12" s="24">
        <v>85021.9688736502</v>
      </c>
    </row>
    <row r="13" s="3" customFormat="1" ht="25" customHeight="1" spans="1:9">
      <c r="A13" s="19">
        <v>10</v>
      </c>
      <c r="B13" s="20" t="s">
        <v>25</v>
      </c>
      <c r="C13" s="20" t="s">
        <v>22</v>
      </c>
      <c r="D13" s="24">
        <f>4082.57+3928.78+4818.95</f>
        <v>12830.3</v>
      </c>
      <c r="E13" s="25">
        <f>27674.8+61044</f>
        <v>88718.8</v>
      </c>
      <c r="F13" s="20">
        <v>8.55</v>
      </c>
      <c r="G13" s="24">
        <f t="shared" si="0"/>
        <v>10376.4678362573</v>
      </c>
      <c r="H13" s="36">
        <v>10376.4678362573</v>
      </c>
      <c r="I13" s="24">
        <v>96534.9697392029</v>
      </c>
    </row>
    <row r="14" s="2" customFormat="1" ht="25" customHeight="1" spans="1:9">
      <c r="A14" s="19">
        <v>11</v>
      </c>
      <c r="B14" s="20" t="s">
        <v>26</v>
      </c>
      <c r="C14" s="20" t="s">
        <v>22</v>
      </c>
      <c r="D14" s="24">
        <f>8726.38+6565.475+3856.98</f>
        <v>19148.835</v>
      </c>
      <c r="E14" s="25">
        <v>208248</v>
      </c>
      <c r="F14" s="19">
        <v>7.2</v>
      </c>
      <c r="G14" s="24">
        <f t="shared" si="0"/>
        <v>28923.3333333333</v>
      </c>
      <c r="H14" s="36">
        <v>19148.835</v>
      </c>
      <c r="I14" s="24">
        <v>178146.575157962</v>
      </c>
    </row>
    <row r="15" s="2" customFormat="1" ht="25" customHeight="1" spans="1:9">
      <c r="A15" s="19">
        <v>12</v>
      </c>
      <c r="B15" s="20" t="s">
        <v>27</v>
      </c>
      <c r="C15" s="20" t="s">
        <v>22</v>
      </c>
      <c r="D15" s="19">
        <f>7112.15+6934.36+6674.49</f>
        <v>20721</v>
      </c>
      <c r="E15" s="19">
        <v>132684</v>
      </c>
      <c r="F15" s="19">
        <v>7.2</v>
      </c>
      <c r="G15" s="24">
        <f t="shared" si="0"/>
        <v>18428.3333333333</v>
      </c>
      <c r="H15" s="36">
        <v>18428.3333333333</v>
      </c>
      <c r="I15" s="24">
        <v>171443.561407398</v>
      </c>
    </row>
    <row r="16" s="2" customFormat="1" ht="25" customHeight="1" spans="1:9">
      <c r="A16" s="19">
        <v>13</v>
      </c>
      <c r="B16" s="20" t="s">
        <v>28</v>
      </c>
      <c r="C16" s="20" t="s">
        <v>29</v>
      </c>
      <c r="D16" s="19">
        <f>4332.1+3888.28</f>
        <v>8220.38</v>
      </c>
      <c r="E16" s="25">
        <f>23770.8+30243.6</f>
        <v>54014.4</v>
      </c>
      <c r="F16" s="19">
        <v>7.2</v>
      </c>
      <c r="G16" s="24">
        <f t="shared" si="0"/>
        <v>7502</v>
      </c>
      <c r="H16" s="36">
        <v>7502</v>
      </c>
      <c r="I16" s="24">
        <v>69793.0504302237</v>
      </c>
    </row>
    <row r="17" s="2" customFormat="1" ht="25" customHeight="1" spans="1:9">
      <c r="A17" s="19">
        <v>14</v>
      </c>
      <c r="B17" s="20" t="s">
        <v>30</v>
      </c>
      <c r="C17" s="19" t="s">
        <v>31</v>
      </c>
      <c r="D17" s="24">
        <f>350.61+779.58</f>
        <v>1130.19</v>
      </c>
      <c r="E17" s="25">
        <v>495.6</v>
      </c>
      <c r="F17" s="19">
        <v>7.2</v>
      </c>
      <c r="G17" s="24">
        <f t="shared" si="0"/>
        <v>68.8333333333333</v>
      </c>
      <c r="H17" s="36">
        <v>0</v>
      </c>
      <c r="I17" s="24">
        <v>0</v>
      </c>
    </row>
    <row r="18" s="2" customFormat="1" ht="25" customHeight="1" spans="1:9">
      <c r="A18" s="19">
        <v>15</v>
      </c>
      <c r="B18" s="20" t="s">
        <v>32</v>
      </c>
      <c r="C18" s="20" t="s">
        <v>31</v>
      </c>
      <c r="D18" s="24">
        <f>856.91+3133.1</f>
        <v>3990.01</v>
      </c>
      <c r="E18" s="24">
        <v>27020.4</v>
      </c>
      <c r="F18" s="19">
        <v>7.2</v>
      </c>
      <c r="G18" s="24">
        <f t="shared" si="0"/>
        <v>3752.83333333333</v>
      </c>
      <c r="H18" s="36">
        <v>3752.83333333333</v>
      </c>
      <c r="I18" s="24">
        <v>34913.5811902903</v>
      </c>
    </row>
    <row r="19" s="2" customFormat="1" ht="25" customHeight="1" spans="1:9">
      <c r="A19" s="19">
        <v>16</v>
      </c>
      <c r="B19" s="20" t="s">
        <v>33</v>
      </c>
      <c r="C19" s="20" t="s">
        <v>34</v>
      </c>
      <c r="D19" s="24">
        <f>3897.45+436.71+1470.27</f>
        <v>5804.43</v>
      </c>
      <c r="E19" s="24">
        <f>75342+11886</f>
        <v>87228</v>
      </c>
      <c r="F19" s="24">
        <v>14.6</v>
      </c>
      <c r="G19" s="24">
        <f t="shared" si="0"/>
        <v>5974.52054794521</v>
      </c>
      <c r="H19" s="36">
        <v>5804.43</v>
      </c>
      <c r="I19" s="24">
        <v>54000.1167300324</v>
      </c>
    </row>
    <row r="20" s="2" customFormat="1" ht="25" customHeight="1" spans="1:9">
      <c r="A20" s="19">
        <v>17</v>
      </c>
      <c r="B20" s="20" t="s">
        <v>35</v>
      </c>
      <c r="C20" s="20" t="s">
        <v>36</v>
      </c>
      <c r="D20" s="24">
        <f>11933.4+6779.81</f>
        <v>18713.21</v>
      </c>
      <c r="E20" s="24">
        <v>219432</v>
      </c>
      <c r="F20" s="24">
        <v>9.7</v>
      </c>
      <c r="G20" s="24">
        <f t="shared" si="0"/>
        <v>22621.8556701031</v>
      </c>
      <c r="H20" s="36">
        <v>18713.21</v>
      </c>
      <c r="I20" s="24">
        <v>174093.842874082</v>
      </c>
    </row>
    <row r="21" s="2" customFormat="1" ht="25" customHeight="1" spans="1:9">
      <c r="A21" s="19">
        <v>18</v>
      </c>
      <c r="B21" s="20" t="s">
        <v>37</v>
      </c>
      <c r="C21" s="20" t="s">
        <v>38</v>
      </c>
      <c r="D21" s="24">
        <f>5070.82+2225.15</f>
        <v>7295.97</v>
      </c>
      <c r="E21" s="24">
        <v>116024.4</v>
      </c>
      <c r="F21" s="24">
        <v>8</v>
      </c>
      <c r="G21" s="24">
        <f t="shared" si="0"/>
        <v>14503.05</v>
      </c>
      <c r="H21" s="36">
        <v>7295.97</v>
      </c>
      <c r="I21" s="24">
        <v>67876.2999396693</v>
      </c>
    </row>
    <row r="22" s="2" customFormat="1" ht="25" customHeight="1" spans="1:9">
      <c r="A22" s="19">
        <v>19</v>
      </c>
      <c r="B22" s="20" t="s">
        <v>39</v>
      </c>
      <c r="C22" s="20" t="s">
        <v>40</v>
      </c>
      <c r="D22" s="24">
        <f>3736.39+4538.43+4583.81</f>
        <v>12858.63</v>
      </c>
      <c r="E22" s="24">
        <v>77094</v>
      </c>
      <c r="F22" s="24">
        <v>7.2</v>
      </c>
      <c r="G22" s="24">
        <f t="shared" si="0"/>
        <v>10707.5</v>
      </c>
      <c r="H22" s="36">
        <v>10707.5</v>
      </c>
      <c r="I22" s="24">
        <v>99614.6477581472</v>
      </c>
    </row>
    <row r="23" s="2" customFormat="1" ht="25" customHeight="1" spans="1:9">
      <c r="A23" s="19">
        <v>20</v>
      </c>
      <c r="B23" s="20" t="s">
        <v>41</v>
      </c>
      <c r="C23" s="20" t="s">
        <v>40</v>
      </c>
      <c r="D23" s="24">
        <f>7998.9+3822.26</f>
        <v>11821.16</v>
      </c>
      <c r="E23" s="24">
        <v>174586.8</v>
      </c>
      <c r="F23" s="24">
        <v>8.55</v>
      </c>
      <c r="G23" s="24">
        <f t="shared" si="0"/>
        <v>20419.5087719298</v>
      </c>
      <c r="H23" s="36">
        <f>7998.9+3822.26</f>
        <v>11821.16</v>
      </c>
      <c r="I23" s="24">
        <v>109975.31538573</v>
      </c>
    </row>
    <row r="24" s="2" customFormat="1" ht="25" customHeight="1" spans="1:9">
      <c r="A24" s="19">
        <v>21</v>
      </c>
      <c r="B24" s="20" t="s">
        <v>42</v>
      </c>
      <c r="C24" s="20" t="s">
        <v>40</v>
      </c>
      <c r="D24" s="24">
        <f>6214.63+2934.05+5910.42</f>
        <v>15059.1</v>
      </c>
      <c r="E24" s="24">
        <v>94000.8</v>
      </c>
      <c r="F24" s="24">
        <v>7.2</v>
      </c>
      <c r="G24" s="24">
        <f t="shared" si="0"/>
        <v>13055.6666666667</v>
      </c>
      <c r="H24" s="36">
        <v>13055.6666666667</v>
      </c>
      <c r="I24" s="24">
        <v>121460.250875348</v>
      </c>
    </row>
    <row r="25" s="2" customFormat="1" ht="25" customHeight="1" spans="1:9">
      <c r="A25" s="19">
        <v>22</v>
      </c>
      <c r="B25" s="20" t="s">
        <v>43</v>
      </c>
      <c r="C25" s="20" t="s">
        <v>44</v>
      </c>
      <c r="D25" s="24">
        <f>12946.59+17205.41</f>
        <v>30152</v>
      </c>
      <c r="E25" s="24">
        <v>110144.4</v>
      </c>
      <c r="F25" s="24">
        <v>7.86</v>
      </c>
      <c r="G25" s="24">
        <f t="shared" si="0"/>
        <v>14013.2824427481</v>
      </c>
      <c r="H25" s="36">
        <v>14013.2824427481</v>
      </c>
      <c r="I25" s="24">
        <v>130369.198642987</v>
      </c>
    </row>
    <row r="26" s="2" customFormat="1" ht="25" customHeight="1" spans="1:9">
      <c r="A26" s="19">
        <v>23</v>
      </c>
      <c r="B26" s="20" t="s">
        <v>45</v>
      </c>
      <c r="C26" s="20" t="s">
        <v>46</v>
      </c>
      <c r="D26" s="24">
        <f>7531.22+6391.95</f>
        <v>13923.17</v>
      </c>
      <c r="E26" s="24">
        <v>90402.4</v>
      </c>
      <c r="F26" s="24">
        <v>8.8</v>
      </c>
      <c r="G26" s="24">
        <f t="shared" si="0"/>
        <v>10273</v>
      </c>
      <c r="H26" s="36">
        <v>10273</v>
      </c>
      <c r="I26" s="24">
        <v>95572.3816408542</v>
      </c>
    </row>
    <row r="27" s="2" customFormat="1" ht="25" customHeight="1" spans="1:9">
      <c r="A27" s="19">
        <v>24</v>
      </c>
      <c r="B27" s="20" t="s">
        <v>47</v>
      </c>
      <c r="C27" s="20" t="s">
        <v>48</v>
      </c>
      <c r="D27" s="24">
        <f>8535+7034</f>
        <v>15569</v>
      </c>
      <c r="E27" s="24">
        <v>159218.4</v>
      </c>
      <c r="F27" s="24">
        <v>6.66</v>
      </c>
      <c r="G27" s="24">
        <f t="shared" si="0"/>
        <v>23906.6666666667</v>
      </c>
      <c r="H27" s="36">
        <v>15569</v>
      </c>
      <c r="I27" s="24">
        <v>144842.442301807</v>
      </c>
    </row>
    <row r="28" s="2" customFormat="1" ht="25" customHeight="1" spans="1:9">
      <c r="A28" s="19">
        <v>25</v>
      </c>
      <c r="B28" s="20" t="s">
        <v>49</v>
      </c>
      <c r="C28" s="20" t="s">
        <v>50</v>
      </c>
      <c r="D28" s="24">
        <f>2311.98+2292.37+1922.77</f>
        <v>6527.12</v>
      </c>
      <c r="E28" s="24">
        <v>81732</v>
      </c>
      <c r="F28" s="24">
        <v>7.5</v>
      </c>
      <c r="G28" s="24">
        <f t="shared" si="0"/>
        <v>10897.6</v>
      </c>
      <c r="H28" s="36">
        <v>6527.12</v>
      </c>
      <c r="I28" s="24">
        <v>60723.4891127862</v>
      </c>
    </row>
    <row r="29" s="2" customFormat="1" ht="25" customHeight="1" spans="1:9">
      <c r="A29" s="19">
        <v>26</v>
      </c>
      <c r="B29" s="20" t="s">
        <v>51</v>
      </c>
      <c r="C29" s="20" t="s">
        <v>40</v>
      </c>
      <c r="D29" s="24">
        <f>3180.89+5573.65+9372.13</f>
        <v>18126.67</v>
      </c>
      <c r="E29" s="24">
        <v>122269.6</v>
      </c>
      <c r="F29" s="24">
        <v>7.5</v>
      </c>
      <c r="G29" s="24">
        <f t="shared" si="0"/>
        <v>16302.6133333333</v>
      </c>
      <c r="H29" s="36">
        <v>16302.6133333333</v>
      </c>
      <c r="I29" s="24">
        <v>151667.43728576</v>
      </c>
    </row>
    <row r="30" s="2" customFormat="1" ht="25" customHeight="1" spans="1:9">
      <c r="A30" s="19">
        <v>27</v>
      </c>
      <c r="B30" s="20" t="s">
        <v>52</v>
      </c>
      <c r="C30" s="19" t="s">
        <v>48</v>
      </c>
      <c r="D30" s="24">
        <f>8074.68+9623.45</f>
        <v>17698.13</v>
      </c>
      <c r="E30" s="24">
        <f>166856+34047.6</f>
        <v>200903.6</v>
      </c>
      <c r="F30" s="24">
        <v>8.862</v>
      </c>
      <c r="G30" s="24">
        <f t="shared" si="0"/>
        <v>22670.2324531708</v>
      </c>
      <c r="H30" s="36">
        <v>17698.13</v>
      </c>
      <c r="I30" s="24">
        <v>164650.290537277</v>
      </c>
    </row>
    <row r="31" s="1" customFormat="1" ht="25" customHeight="1" spans="1:9">
      <c r="A31" s="19">
        <v>29</v>
      </c>
      <c r="B31" s="20" t="s">
        <v>53</v>
      </c>
      <c r="C31" s="20" t="s">
        <v>48</v>
      </c>
      <c r="D31" s="24">
        <f>6073.32+2559.17+1534.77</f>
        <v>10167.26</v>
      </c>
      <c r="E31" s="24">
        <v>71334</v>
      </c>
      <c r="F31" s="24">
        <v>7.2</v>
      </c>
      <c r="G31" s="24">
        <f t="shared" si="0"/>
        <v>9907.5</v>
      </c>
      <c r="H31" s="36">
        <v>9907.5</v>
      </c>
      <c r="I31" s="24">
        <v>92172.0404075502</v>
      </c>
    </row>
    <row r="32" s="1" customFormat="1" ht="25" customHeight="1" spans="1:9">
      <c r="A32" s="19">
        <v>30</v>
      </c>
      <c r="B32" s="20" t="s">
        <v>54</v>
      </c>
      <c r="C32" s="20" t="s">
        <v>55</v>
      </c>
      <c r="D32" s="24">
        <f>2640.29+3291.61+2705.37</f>
        <v>8637.27</v>
      </c>
      <c r="E32" s="24">
        <v>42516.8</v>
      </c>
      <c r="F32" s="24">
        <v>7.2</v>
      </c>
      <c r="G32" s="24">
        <f t="shared" si="0"/>
        <v>5905.11111111111</v>
      </c>
      <c r="H32" s="36">
        <v>5905.11111111111</v>
      </c>
      <c r="I32" s="24">
        <v>54936.7792020597</v>
      </c>
    </row>
    <row r="33" s="1" customFormat="1" ht="25" customHeight="1" spans="1:9">
      <c r="A33" s="19">
        <v>31</v>
      </c>
      <c r="B33" s="20" t="s">
        <v>56</v>
      </c>
      <c r="C33" s="20" t="s">
        <v>14</v>
      </c>
      <c r="D33" s="24">
        <f>1755.9+1625.67</f>
        <v>3381.57</v>
      </c>
      <c r="E33" s="24">
        <v>11069.6</v>
      </c>
      <c r="F33" s="24">
        <v>7.2</v>
      </c>
      <c r="G33" s="24">
        <f t="shared" si="0"/>
        <v>1537.44444444444</v>
      </c>
      <c r="H33" s="36">
        <v>1537.44444444444</v>
      </c>
      <c r="I33" s="24">
        <v>14303.244154196</v>
      </c>
    </row>
    <row r="34" s="1" customFormat="1" ht="25" customHeight="1" spans="1:9">
      <c r="A34" s="19">
        <v>32</v>
      </c>
      <c r="B34" s="20" t="s">
        <v>57</v>
      </c>
      <c r="C34" s="20" t="s">
        <v>48</v>
      </c>
      <c r="D34" s="24">
        <f>4355+3276+2149</f>
        <v>9780</v>
      </c>
      <c r="E34" s="24">
        <v>58964</v>
      </c>
      <c r="F34" s="24">
        <v>7.2</v>
      </c>
      <c r="G34" s="24">
        <f t="shared" si="0"/>
        <v>8189.44444444444</v>
      </c>
      <c r="H34" s="36">
        <v>8189.44444444444</v>
      </c>
      <c r="I34" s="24">
        <v>76188.5242744103</v>
      </c>
    </row>
    <row r="35" s="1" customFormat="1" ht="15" spans="7:9">
      <c r="G35" s="7"/>
      <c r="H35" s="36">
        <f>SUM(H4:H34)</f>
        <v>323887.918097228</v>
      </c>
      <c r="I35" s="36">
        <f>SUM(I4:I34)</f>
        <v>3013213.25</v>
      </c>
    </row>
    <row r="36" s="1" customFormat="1" spans="1:9">
      <c r="A36" s="28" t="s">
        <v>58</v>
      </c>
      <c r="B36" s="28"/>
      <c r="C36" s="28"/>
      <c r="D36" s="28"/>
      <c r="E36" s="28"/>
      <c r="F36" s="28"/>
      <c r="G36" s="7"/>
      <c r="H36" s="8"/>
      <c r="I36" s="7"/>
    </row>
    <row r="37" s="1" customFormat="1" spans="1:9">
      <c r="A37" s="30" t="s">
        <v>59</v>
      </c>
      <c r="B37" s="30"/>
      <c r="C37" s="30"/>
      <c r="D37" s="30"/>
      <c r="E37" s="30"/>
      <c r="F37" s="30"/>
      <c r="G37" s="7"/>
      <c r="H37" s="8"/>
      <c r="I37" s="7"/>
    </row>
    <row r="40" spans="9:9">
      <c r="I40"/>
    </row>
    <row r="45" spans="9:9">
      <c r="I45" s="37"/>
    </row>
  </sheetData>
  <mergeCells count="8">
    <mergeCell ref="A1:I1"/>
    <mergeCell ref="A36:F36"/>
    <mergeCell ref="A37:F37"/>
    <mergeCell ref="A2:A3"/>
    <mergeCell ref="B2:B3"/>
    <mergeCell ref="C2:C3"/>
    <mergeCell ref="F2:F3"/>
    <mergeCell ref="I2:I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topLeftCell="A12" workbookViewId="0">
      <selection activeCell="B27" sqref="B27"/>
    </sheetView>
  </sheetViews>
  <sheetFormatPr defaultColWidth="9" defaultRowHeight="14.25"/>
  <cols>
    <col min="1" max="1" width="4.875" style="1" customWidth="1"/>
    <col min="2" max="2" width="23" style="4" customWidth="1"/>
    <col min="3" max="4" width="9.75" style="1" customWidth="1"/>
    <col min="5" max="5" width="10.875" style="5" customWidth="1"/>
    <col min="6" max="6" width="11.375" style="6" customWidth="1"/>
    <col min="7" max="7" width="13.125" style="7" customWidth="1"/>
    <col min="8" max="8" width="16.625" style="7" customWidth="1"/>
    <col min="9" max="9" width="14.875" style="8" customWidth="1"/>
    <col min="10" max="10" width="13.25" style="7" customWidth="1"/>
    <col min="11" max="16384" width="9" style="1"/>
  </cols>
  <sheetData>
    <row r="1" s="1" customFormat="1" ht="26.25" spans="1:10">
      <c r="A1" s="9" t="s">
        <v>60</v>
      </c>
      <c r="B1" s="9"/>
      <c r="C1" s="9"/>
      <c r="D1" s="9"/>
      <c r="E1" s="9"/>
      <c r="F1" s="9"/>
      <c r="G1" s="9"/>
      <c r="H1" s="9"/>
      <c r="I1" s="31"/>
      <c r="J1" s="32"/>
    </row>
    <row r="2" s="1" customFormat="1" ht="30" customHeight="1" spans="1:10">
      <c r="A2" s="10" t="s">
        <v>1</v>
      </c>
      <c r="B2" s="11" t="s">
        <v>2</v>
      </c>
      <c r="C2" s="10" t="s">
        <v>3</v>
      </c>
      <c r="D2" s="12" t="s">
        <v>4</v>
      </c>
      <c r="E2" s="13" t="s">
        <v>5</v>
      </c>
      <c r="F2" s="10" t="s">
        <v>6</v>
      </c>
      <c r="G2" s="13" t="s">
        <v>7</v>
      </c>
      <c r="H2" s="14" t="s">
        <v>61</v>
      </c>
      <c r="I2" s="33" t="s">
        <v>62</v>
      </c>
      <c r="J2" s="34" t="s">
        <v>63</v>
      </c>
    </row>
    <row r="3" s="1" customFormat="1" ht="30" customHeight="1" spans="1:10">
      <c r="A3" s="15"/>
      <c r="B3" s="16"/>
      <c r="C3" s="15"/>
      <c r="D3" s="17" t="s">
        <v>10</v>
      </c>
      <c r="E3" s="17" t="s">
        <v>10</v>
      </c>
      <c r="F3" s="15"/>
      <c r="G3" s="18" t="s">
        <v>10</v>
      </c>
      <c r="H3" s="14"/>
      <c r="I3" s="33" t="s">
        <v>10</v>
      </c>
      <c r="J3" s="35"/>
    </row>
    <row r="4" s="2" customFormat="1" ht="22" customHeight="1" spans="1:10">
      <c r="A4" s="19">
        <v>1</v>
      </c>
      <c r="B4" s="20" t="s">
        <v>11</v>
      </c>
      <c r="C4" s="20" t="s">
        <v>12</v>
      </c>
      <c r="D4" s="21">
        <f>6063.24+5362.37</f>
        <v>11425.61</v>
      </c>
      <c r="E4" s="22">
        <v>64290</v>
      </c>
      <c r="F4" s="23">
        <v>7.2</v>
      </c>
      <c r="G4" s="24">
        <f t="shared" ref="G4:G21" si="0">E4/F4</f>
        <v>8929.16666666667</v>
      </c>
      <c r="H4" s="24">
        <v>8929.17</v>
      </c>
      <c r="I4" s="36">
        <v>0</v>
      </c>
      <c r="J4" s="24">
        <v>86308.3714507935</v>
      </c>
    </row>
    <row r="5" s="2" customFormat="1" ht="22" customHeight="1" spans="1:10">
      <c r="A5" s="19">
        <v>2</v>
      </c>
      <c r="B5" s="20" t="s">
        <v>13</v>
      </c>
      <c r="C5" s="19" t="s">
        <v>14</v>
      </c>
      <c r="D5" s="19">
        <f>3244.89+2739.29</f>
        <v>5984.18</v>
      </c>
      <c r="E5" s="25">
        <v>25662</v>
      </c>
      <c r="F5" s="19">
        <v>4.34</v>
      </c>
      <c r="G5" s="24">
        <f t="shared" si="0"/>
        <v>5912.90322580645</v>
      </c>
      <c r="H5" s="24">
        <v>5912.9</v>
      </c>
      <c r="I5" s="36">
        <v>0</v>
      </c>
      <c r="J5" s="24">
        <v>57153.4386232311</v>
      </c>
    </row>
    <row r="6" s="2" customFormat="1" ht="22" customHeight="1" spans="1:10">
      <c r="A6" s="19">
        <v>3</v>
      </c>
      <c r="B6" s="20" t="s">
        <v>17</v>
      </c>
      <c r="C6" s="19" t="s">
        <v>16</v>
      </c>
      <c r="D6" s="24">
        <v>10229.33</v>
      </c>
      <c r="E6" s="25">
        <v>41396.4</v>
      </c>
      <c r="F6" s="19">
        <v>6.92</v>
      </c>
      <c r="G6" s="24">
        <f t="shared" si="0"/>
        <v>5982.1387283237</v>
      </c>
      <c r="H6" s="24">
        <f>G6*0.6</f>
        <v>3589.28323699422</v>
      </c>
      <c r="I6" s="36">
        <f>G6*0.4</f>
        <v>2392.85549132948</v>
      </c>
      <c r="J6" s="24">
        <v>55429.8370360095</v>
      </c>
    </row>
    <row r="7" s="2" customFormat="1" ht="22" customHeight="1" spans="1:10">
      <c r="A7" s="19">
        <v>4</v>
      </c>
      <c r="B7" s="20" t="s">
        <v>18</v>
      </c>
      <c r="C7" s="20" t="s">
        <v>19</v>
      </c>
      <c r="D7" s="19">
        <f>6338.435+6739.345</f>
        <v>13077.78</v>
      </c>
      <c r="E7" s="19">
        <v>101806.8</v>
      </c>
      <c r="F7" s="19">
        <v>6.5</v>
      </c>
      <c r="G7" s="24">
        <f t="shared" si="0"/>
        <v>15662.5846153846</v>
      </c>
      <c r="H7" s="24">
        <v>13077.78</v>
      </c>
      <c r="I7" s="36">
        <v>0</v>
      </c>
      <c r="J7" s="24">
        <v>126408.377709435</v>
      </c>
    </row>
    <row r="8" s="2" customFormat="1" ht="22" customHeight="1" spans="1:10">
      <c r="A8" s="19">
        <v>5</v>
      </c>
      <c r="B8" s="20" t="s">
        <v>20</v>
      </c>
      <c r="C8" s="19" t="s">
        <v>19</v>
      </c>
      <c r="D8" s="24">
        <f>1809.78+1804.02</f>
        <v>3613.8</v>
      </c>
      <c r="E8" s="25">
        <v>12045.6</v>
      </c>
      <c r="F8" s="19">
        <v>4.34</v>
      </c>
      <c r="G8" s="24">
        <f t="shared" si="0"/>
        <v>2775.48387096774</v>
      </c>
      <c r="H8" s="24">
        <v>2775.48</v>
      </c>
      <c r="I8" s="36">
        <v>0</v>
      </c>
      <c r="J8" s="24">
        <v>26827.4832704774</v>
      </c>
    </row>
    <row r="9" s="2" customFormat="1" ht="22" customHeight="1" spans="1:10">
      <c r="A9" s="19">
        <v>6</v>
      </c>
      <c r="B9" s="20" t="s">
        <v>21</v>
      </c>
      <c r="C9" s="20" t="s">
        <v>22</v>
      </c>
      <c r="D9" s="24">
        <f>3804.97+2926.49+3796.08</f>
        <v>10527.54</v>
      </c>
      <c r="E9" s="24">
        <v>41944</v>
      </c>
      <c r="F9" s="24">
        <v>7.5</v>
      </c>
      <c r="G9" s="24">
        <f t="shared" si="0"/>
        <v>5592.53333333333</v>
      </c>
      <c r="H9" s="24">
        <v>5592.53</v>
      </c>
      <c r="I9" s="36">
        <v>0</v>
      </c>
      <c r="J9" s="24">
        <v>54056.7775716787</v>
      </c>
    </row>
    <row r="10" s="2" customFormat="1" ht="22" customHeight="1" spans="1:10">
      <c r="A10" s="19">
        <v>7</v>
      </c>
      <c r="B10" s="20" t="s">
        <v>23</v>
      </c>
      <c r="C10" s="19" t="s">
        <v>22</v>
      </c>
      <c r="D10" s="24">
        <f>14981.48+14470.82</f>
        <v>29452.3</v>
      </c>
      <c r="E10" s="25">
        <v>225754.8</v>
      </c>
      <c r="F10" s="19">
        <v>7.2</v>
      </c>
      <c r="G10" s="24">
        <f t="shared" si="0"/>
        <v>31354.8333333333</v>
      </c>
      <c r="H10" s="24">
        <v>18266.3</v>
      </c>
      <c r="I10" s="36">
        <f>D10-H10</f>
        <v>11186</v>
      </c>
      <c r="J10" s="24">
        <v>273496.680302895</v>
      </c>
    </row>
    <row r="11" s="2" customFormat="1" ht="22" customHeight="1" spans="1:10">
      <c r="A11" s="19">
        <v>8</v>
      </c>
      <c r="B11" s="20" t="s">
        <v>24</v>
      </c>
      <c r="C11" s="19" t="s">
        <v>22</v>
      </c>
      <c r="D11" s="24">
        <f>3179.6+6746.53</f>
        <v>9926.13</v>
      </c>
      <c r="E11" s="25">
        <v>71345.6</v>
      </c>
      <c r="F11" s="19">
        <v>7.2</v>
      </c>
      <c r="G11" s="24">
        <f t="shared" si="0"/>
        <v>9909.11111111111</v>
      </c>
      <c r="H11" s="24">
        <f>3179.6+5692.722</f>
        <v>8872.322</v>
      </c>
      <c r="I11" s="36">
        <f>G11-H11</f>
        <v>1036.78911111111</v>
      </c>
      <c r="J11" s="24">
        <v>94743.5849354086</v>
      </c>
    </row>
    <row r="12" s="3" customFormat="1" ht="22" customHeight="1" spans="1:10">
      <c r="A12" s="19">
        <v>9</v>
      </c>
      <c r="B12" s="20" t="s">
        <v>25</v>
      </c>
      <c r="C12" s="20" t="s">
        <v>22</v>
      </c>
      <c r="D12" s="24">
        <f>1973.3+3157.51+2803.93</f>
        <v>7934.74</v>
      </c>
      <c r="E12" s="25">
        <f>21660.2+51487.6</f>
        <v>73147.8</v>
      </c>
      <c r="F12" s="20">
        <v>8.55</v>
      </c>
      <c r="G12" s="24">
        <f t="shared" si="0"/>
        <v>8555.29824561403</v>
      </c>
      <c r="H12" s="24">
        <f>2803.93+1973.3+3157.51</f>
        <v>7934.74</v>
      </c>
      <c r="I12" s="36">
        <v>0</v>
      </c>
      <c r="J12" s="24">
        <v>76696.3208546224</v>
      </c>
    </row>
    <row r="13" s="2" customFormat="1" ht="22" customHeight="1" spans="1:10">
      <c r="A13" s="19">
        <v>10</v>
      </c>
      <c r="B13" s="20" t="s">
        <v>26</v>
      </c>
      <c r="C13" s="20" t="s">
        <v>22</v>
      </c>
      <c r="D13" s="24">
        <f>9911.31+6320.44+4500.24</f>
        <v>20731.99</v>
      </c>
      <c r="E13" s="25">
        <v>50776.8</v>
      </c>
      <c r="F13" s="19">
        <v>7.2</v>
      </c>
      <c r="G13" s="24">
        <f t="shared" si="0"/>
        <v>7052.33333333333</v>
      </c>
      <c r="H13" s="24">
        <v>7052.33</v>
      </c>
      <c r="I13" s="36">
        <v>0</v>
      </c>
      <c r="J13" s="24">
        <v>68167.0432115834</v>
      </c>
    </row>
    <row r="14" s="2" customFormat="1" ht="22" customHeight="1" spans="1:10">
      <c r="A14" s="19">
        <v>11</v>
      </c>
      <c r="B14" s="20" t="s">
        <v>27</v>
      </c>
      <c r="C14" s="20" t="s">
        <v>22</v>
      </c>
      <c r="D14" s="19">
        <f>7969.36+8131.63+6445.14</f>
        <v>22546.13</v>
      </c>
      <c r="E14" s="19">
        <v>148615.2</v>
      </c>
      <c r="F14" s="19">
        <v>7.2</v>
      </c>
      <c r="G14" s="24">
        <f t="shared" si="0"/>
        <v>20641</v>
      </c>
      <c r="H14" s="24">
        <v>20641</v>
      </c>
      <c r="I14" s="36">
        <v>0</v>
      </c>
      <c r="J14" s="24">
        <v>199513.627259401</v>
      </c>
    </row>
    <row r="15" s="2" customFormat="1" ht="22" customHeight="1" spans="1:10">
      <c r="A15" s="19">
        <v>12</v>
      </c>
      <c r="B15" s="20" t="s">
        <v>28</v>
      </c>
      <c r="C15" s="20" t="s">
        <v>29</v>
      </c>
      <c r="D15" s="19">
        <f>3932.33+3902.03</f>
        <v>7834.36</v>
      </c>
      <c r="E15" s="25">
        <f>23053.2+29786.4</f>
        <v>52839.6</v>
      </c>
      <c r="F15" s="19">
        <v>7.2</v>
      </c>
      <c r="G15" s="24">
        <f t="shared" si="0"/>
        <v>7338.83333333333</v>
      </c>
      <c r="H15" s="24">
        <v>5328.7</v>
      </c>
      <c r="I15" s="36">
        <f>G15-H15</f>
        <v>2010.13333333333</v>
      </c>
      <c r="J15" s="24">
        <v>68926.2194686402</v>
      </c>
    </row>
    <row r="16" s="2" customFormat="1" ht="22" customHeight="1" spans="1:10">
      <c r="A16" s="19">
        <v>13</v>
      </c>
      <c r="B16" s="20" t="s">
        <v>32</v>
      </c>
      <c r="C16" s="20" t="s">
        <v>31</v>
      </c>
      <c r="D16" s="24">
        <f>1618.665+1883.68</f>
        <v>3502.345</v>
      </c>
      <c r="E16" s="24">
        <v>24214.8</v>
      </c>
      <c r="F16" s="19">
        <v>7.2</v>
      </c>
      <c r="G16" s="24">
        <f t="shared" si="0"/>
        <v>3363.16666666667</v>
      </c>
      <c r="H16" s="24">
        <v>2544.24</v>
      </c>
      <c r="I16" s="36">
        <f>G16-H16</f>
        <v>818.926666666667</v>
      </c>
      <c r="J16" s="24">
        <v>31689.0710439373</v>
      </c>
    </row>
    <row r="17" s="2" customFormat="1" ht="22" customHeight="1" spans="1:10">
      <c r="A17" s="19">
        <v>14</v>
      </c>
      <c r="B17" s="20" t="s">
        <v>33</v>
      </c>
      <c r="C17" s="20" t="s">
        <v>34</v>
      </c>
      <c r="D17" s="24">
        <f>3932.24+2393.5+865.23</f>
        <v>7190.97</v>
      </c>
      <c r="E17" s="24">
        <f>128139.6+21162</f>
        <v>149301.6</v>
      </c>
      <c r="F17" s="24">
        <v>14.6</v>
      </c>
      <c r="G17" s="24">
        <f t="shared" si="0"/>
        <v>10226.1369863014</v>
      </c>
      <c r="H17" s="24">
        <v>7190.97</v>
      </c>
      <c r="I17" s="36">
        <v>0</v>
      </c>
      <c r="J17" s="24">
        <v>69507.1221459007</v>
      </c>
    </row>
    <row r="18" s="2" customFormat="1" ht="22" customHeight="1" spans="1:10">
      <c r="A18" s="19">
        <v>15</v>
      </c>
      <c r="B18" s="20" t="s">
        <v>35</v>
      </c>
      <c r="C18" s="20" t="s">
        <v>36</v>
      </c>
      <c r="D18" s="24">
        <f>10407+10130</f>
        <v>20537</v>
      </c>
      <c r="E18" s="24">
        <v>283597.2</v>
      </c>
      <c r="F18" s="24">
        <v>9.7</v>
      </c>
      <c r="G18" s="24">
        <f t="shared" si="0"/>
        <v>29236.824742268</v>
      </c>
      <c r="H18" s="24">
        <f>8189.26+7971.29</f>
        <v>16160.55</v>
      </c>
      <c r="I18" s="36">
        <f>D18-H18</f>
        <v>4376.45</v>
      </c>
      <c r="J18" s="24">
        <v>194131.924740871</v>
      </c>
    </row>
    <row r="19" s="2" customFormat="1" ht="22" customHeight="1" spans="1:10">
      <c r="A19" s="19">
        <v>16</v>
      </c>
      <c r="B19" s="20" t="s">
        <v>39</v>
      </c>
      <c r="C19" s="20" t="s">
        <v>40</v>
      </c>
      <c r="D19" s="24">
        <f>4604.33+10070.78</f>
        <v>14675.11</v>
      </c>
      <c r="E19" s="24">
        <v>93892.8</v>
      </c>
      <c r="F19" s="24">
        <v>7.2</v>
      </c>
      <c r="G19" s="24">
        <f t="shared" si="0"/>
        <v>13040.6666666667</v>
      </c>
      <c r="H19" s="24">
        <v>11907.43</v>
      </c>
      <c r="I19" s="36">
        <f>G19-H19</f>
        <v>1133.23666666667</v>
      </c>
      <c r="J19" s="24">
        <v>124916.407660034</v>
      </c>
    </row>
    <row r="20" s="2" customFormat="1" ht="22" customHeight="1" spans="1:10">
      <c r="A20" s="19">
        <v>17</v>
      </c>
      <c r="B20" s="20" t="s">
        <v>41</v>
      </c>
      <c r="C20" s="20" t="s">
        <v>40</v>
      </c>
      <c r="D20" s="24">
        <f>5837.78+3092.49</f>
        <v>8930.27</v>
      </c>
      <c r="E20" s="24">
        <v>109171.2</v>
      </c>
      <c r="F20" s="24">
        <v>8.55</v>
      </c>
      <c r="G20" s="24">
        <f t="shared" si="0"/>
        <v>12768.5614035088</v>
      </c>
      <c r="H20" s="24">
        <f>4572.15+2264.01</f>
        <v>6836.16</v>
      </c>
      <c r="I20" s="36">
        <f>D20-H20</f>
        <v>2094.11</v>
      </c>
      <c r="J20" s="24">
        <v>84224.8939293548</v>
      </c>
    </row>
    <row r="21" s="2" customFormat="1" ht="22" customHeight="1" spans="1:10">
      <c r="A21" s="19">
        <v>18</v>
      </c>
      <c r="B21" s="20" t="s">
        <v>42</v>
      </c>
      <c r="C21" s="20" t="s">
        <v>40</v>
      </c>
      <c r="D21" s="24">
        <f>7553.69+6032.28</f>
        <v>13585.97</v>
      </c>
      <c r="E21" s="24">
        <v>95847.6</v>
      </c>
      <c r="F21" s="24">
        <v>7.2</v>
      </c>
      <c r="G21" s="24">
        <f t="shared" si="0"/>
        <v>13312.1666666667</v>
      </c>
      <c r="H21" s="24">
        <v>12891.5</v>
      </c>
      <c r="I21" s="36">
        <f>G21-H21</f>
        <v>420.666666666668</v>
      </c>
      <c r="J21" s="24">
        <v>128253.266686774</v>
      </c>
    </row>
    <row r="22" s="2" customFormat="1" ht="22" customHeight="1" spans="1:10">
      <c r="A22" s="19">
        <v>19</v>
      </c>
      <c r="B22" s="20" t="s">
        <v>45</v>
      </c>
      <c r="C22" s="20" t="s">
        <v>46</v>
      </c>
      <c r="D22" s="24">
        <f>6058+5370</f>
        <v>11428</v>
      </c>
      <c r="E22" s="24">
        <v>58279.2</v>
      </c>
      <c r="F22" s="24">
        <v>8.8</v>
      </c>
      <c r="G22" s="24">
        <f t="shared" ref="G22:G35" si="1">E22/F22</f>
        <v>6622.63636363636</v>
      </c>
      <c r="H22" s="24">
        <v>3980.86</v>
      </c>
      <c r="I22" s="36">
        <f>G22-H22</f>
        <v>2641.77636363636</v>
      </c>
      <c r="J22" s="24">
        <v>61371.8955964965</v>
      </c>
    </row>
    <row r="23" s="2" customFormat="1" ht="22" customHeight="1" spans="1:10">
      <c r="A23" s="19">
        <v>20</v>
      </c>
      <c r="B23" s="20" t="s">
        <v>47</v>
      </c>
      <c r="C23" s="20" t="s">
        <v>48</v>
      </c>
      <c r="D23" s="24">
        <f>6315.8+7305</f>
        <v>13620.8</v>
      </c>
      <c r="E23" s="24">
        <v>136886.4</v>
      </c>
      <c r="F23" s="24">
        <v>6.66</v>
      </c>
      <c r="G23" s="24">
        <f t="shared" si="1"/>
        <v>20553.5135135135</v>
      </c>
      <c r="H23" s="24">
        <v>13620.8</v>
      </c>
      <c r="I23" s="36">
        <v>0</v>
      </c>
      <c r="J23" s="24">
        <v>131657.149080706</v>
      </c>
    </row>
    <row r="24" s="2" customFormat="1" ht="22" customHeight="1" spans="1:10">
      <c r="A24" s="19">
        <v>21</v>
      </c>
      <c r="B24" s="20" t="s">
        <v>49</v>
      </c>
      <c r="C24" s="20" t="s">
        <v>50</v>
      </c>
      <c r="D24" s="24">
        <f>3248.35+2645.5+2465.06</f>
        <v>8358.91</v>
      </c>
      <c r="E24" s="24">
        <v>106761.6</v>
      </c>
      <c r="F24" s="24">
        <v>7.5</v>
      </c>
      <c r="G24" s="24">
        <f t="shared" si="1"/>
        <v>14234.88</v>
      </c>
      <c r="H24" s="24">
        <v>5020</v>
      </c>
      <c r="I24" s="36">
        <f>D24-H24</f>
        <v>3338.91</v>
      </c>
      <c r="J24" s="24">
        <v>77457.3912467846</v>
      </c>
    </row>
    <row r="25" s="2" customFormat="1" ht="22" customHeight="1" spans="1:10">
      <c r="A25" s="19">
        <v>22</v>
      </c>
      <c r="B25" s="20" t="s">
        <v>51</v>
      </c>
      <c r="C25" s="20" t="s">
        <v>40</v>
      </c>
      <c r="D25" s="24">
        <f>5265.33+4964.5+4464.05</f>
        <v>14693.88</v>
      </c>
      <c r="E25" s="24">
        <v>104185.6</v>
      </c>
      <c r="F25" s="24">
        <v>7.5</v>
      </c>
      <c r="G25" s="24">
        <f t="shared" si="1"/>
        <v>13891.4133333333</v>
      </c>
      <c r="H25" s="24">
        <v>13891.41</v>
      </c>
      <c r="I25" s="36">
        <v>0</v>
      </c>
      <c r="J25" s="24">
        <v>134272.8354657</v>
      </c>
    </row>
    <row r="26" s="2" customFormat="1" ht="22" customHeight="1" spans="1:10">
      <c r="A26" s="19">
        <v>23</v>
      </c>
      <c r="B26" s="20" t="s">
        <v>52</v>
      </c>
      <c r="C26" s="19" t="s">
        <v>48</v>
      </c>
      <c r="D26" s="24">
        <f>9650.35+9562.9</f>
        <v>19213.25</v>
      </c>
      <c r="E26" s="24">
        <f>46018.2+113021.6</f>
        <v>159039.8</v>
      </c>
      <c r="F26" s="24">
        <v>8.862</v>
      </c>
      <c r="G26" s="24">
        <f t="shared" si="1"/>
        <v>17946.2649514782</v>
      </c>
      <c r="H26" s="24">
        <v>17946.2649514782</v>
      </c>
      <c r="I26" s="36">
        <v>0</v>
      </c>
      <c r="J26" s="24">
        <v>173466.61577577</v>
      </c>
    </row>
    <row r="27" s="1" customFormat="1" ht="22" customHeight="1" spans="1:10">
      <c r="A27" s="19">
        <v>24</v>
      </c>
      <c r="B27" s="20" t="s">
        <v>64</v>
      </c>
      <c r="C27" s="20" t="s">
        <v>48</v>
      </c>
      <c r="D27" s="24">
        <f>3963.65+5992.86</f>
        <v>9956.51</v>
      </c>
      <c r="E27" s="24">
        <v>64010.4</v>
      </c>
      <c r="F27" s="24">
        <v>7.2</v>
      </c>
      <c r="G27" s="24">
        <f t="shared" si="1"/>
        <v>8890.33333333333</v>
      </c>
      <c r="H27" s="24">
        <v>7849.27</v>
      </c>
      <c r="I27" s="36">
        <f>G27-H27</f>
        <v>1041.06333333333</v>
      </c>
      <c r="J27" s="24">
        <v>84891.9171849796</v>
      </c>
    </row>
    <row r="28" s="1" customFormat="1" ht="22" customHeight="1" spans="1:10">
      <c r="A28" s="19">
        <v>25</v>
      </c>
      <c r="B28" s="20" t="s">
        <v>54</v>
      </c>
      <c r="C28" s="20" t="s">
        <v>55</v>
      </c>
      <c r="D28" s="24">
        <f>3917.22+6891.56+6796.76</f>
        <v>17605.54</v>
      </c>
      <c r="E28" s="24">
        <v>100592.8</v>
      </c>
      <c r="F28" s="24">
        <v>7.2</v>
      </c>
      <c r="G28" s="24">
        <f t="shared" si="1"/>
        <v>13971.2222222222</v>
      </c>
      <c r="H28" s="24">
        <v>13971.22</v>
      </c>
      <c r="I28" s="36">
        <v>0</v>
      </c>
      <c r="J28" s="24">
        <v>135044.270114776</v>
      </c>
    </row>
    <row r="29" s="1" customFormat="1" ht="22" customHeight="1" spans="1:10">
      <c r="A29" s="19">
        <v>26</v>
      </c>
      <c r="B29" s="20" t="s">
        <v>56</v>
      </c>
      <c r="C29" s="20" t="s">
        <v>14</v>
      </c>
      <c r="D29" s="24">
        <f>2100+1000+1100</f>
        <v>4200</v>
      </c>
      <c r="E29" s="24">
        <v>61293.6</v>
      </c>
      <c r="F29" s="24">
        <v>7.2</v>
      </c>
      <c r="G29" s="24">
        <f t="shared" si="1"/>
        <v>8513</v>
      </c>
      <c r="H29" s="24">
        <f>2000+2000</f>
        <v>4000</v>
      </c>
      <c r="I29" s="36">
        <v>200</v>
      </c>
      <c r="J29" s="24">
        <v>40396.73632525</v>
      </c>
    </row>
    <row r="30" s="1" customFormat="1" ht="22" customHeight="1" spans="1:10">
      <c r="A30" s="19">
        <v>27</v>
      </c>
      <c r="B30" s="20" t="s">
        <v>65</v>
      </c>
      <c r="C30" s="20" t="s">
        <v>66</v>
      </c>
      <c r="D30" s="25">
        <f>2781.635+5107.01+2639.47</f>
        <v>10528.115</v>
      </c>
      <c r="E30" s="24">
        <v>168523.2</v>
      </c>
      <c r="F30" s="24">
        <v>8.965</v>
      </c>
      <c r="G30" s="24">
        <f t="shared" si="1"/>
        <v>18797.9029559398</v>
      </c>
      <c r="H30" s="24">
        <f>1497.91+4255.67+2639.47</f>
        <v>8393.05</v>
      </c>
      <c r="I30" s="36">
        <f>D30-H30</f>
        <v>2135.065</v>
      </c>
      <c r="J30" s="24">
        <v>99628.5322992641</v>
      </c>
    </row>
    <row r="31" s="1" customFormat="1" ht="22" customHeight="1" spans="1:10">
      <c r="A31" s="19">
        <v>28</v>
      </c>
      <c r="B31" s="20" t="s">
        <v>57</v>
      </c>
      <c r="C31" s="20" t="s">
        <v>48</v>
      </c>
      <c r="D31" s="24">
        <f>12536+7704</f>
        <v>20240</v>
      </c>
      <c r="E31" s="24">
        <v>95309.6</v>
      </c>
      <c r="F31" s="24">
        <v>7.2</v>
      </c>
      <c r="G31" s="24">
        <f t="shared" si="1"/>
        <v>13237.4444444444</v>
      </c>
      <c r="H31" s="24">
        <v>13237.44</v>
      </c>
      <c r="I31" s="36">
        <v>0</v>
      </c>
      <c r="J31" s="24">
        <v>127951.613643171</v>
      </c>
    </row>
    <row r="32" s="2" customFormat="1" ht="22" customHeight="1" spans="1:10">
      <c r="A32" s="19">
        <v>29</v>
      </c>
      <c r="B32" s="20" t="s">
        <v>43</v>
      </c>
      <c r="C32" s="20" t="s">
        <v>44</v>
      </c>
      <c r="D32" s="24"/>
      <c r="E32" s="24">
        <v>41678.4</v>
      </c>
      <c r="F32" s="24">
        <v>7.86</v>
      </c>
      <c r="G32" s="24">
        <f t="shared" si="1"/>
        <v>5302.59541984733</v>
      </c>
      <c r="H32" s="24">
        <v>0</v>
      </c>
      <c r="I32" s="36">
        <v>0</v>
      </c>
      <c r="J32" s="24">
        <v>0</v>
      </c>
    </row>
    <row r="33" s="2" customFormat="1" ht="22" customHeight="1" spans="1:10">
      <c r="A33" s="19">
        <v>30</v>
      </c>
      <c r="B33" s="20" t="s">
        <v>15</v>
      </c>
      <c r="C33" s="20" t="s">
        <v>16</v>
      </c>
      <c r="E33" s="25">
        <v>1696.8</v>
      </c>
      <c r="F33" s="25">
        <v>8</v>
      </c>
      <c r="G33" s="24">
        <f t="shared" si="1"/>
        <v>212.1</v>
      </c>
      <c r="H33" s="24">
        <v>0</v>
      </c>
      <c r="I33" s="36">
        <v>0</v>
      </c>
      <c r="J33" s="24">
        <v>0</v>
      </c>
    </row>
    <row r="34" s="2" customFormat="1" ht="22" customHeight="1" spans="1:10">
      <c r="A34" s="19">
        <v>31</v>
      </c>
      <c r="B34" s="20" t="s">
        <v>30</v>
      </c>
      <c r="C34" s="19" t="s">
        <v>31</v>
      </c>
      <c r="D34" s="24"/>
      <c r="E34" s="25">
        <v>0</v>
      </c>
      <c r="F34" s="19">
        <v>7.2</v>
      </c>
      <c r="G34" s="24">
        <f t="shared" si="1"/>
        <v>0</v>
      </c>
      <c r="H34" s="24">
        <v>0</v>
      </c>
      <c r="I34" s="36">
        <v>0</v>
      </c>
      <c r="J34" s="24">
        <v>0</v>
      </c>
    </row>
    <row r="35" s="2" customFormat="1" ht="22" customHeight="1" spans="1:10">
      <c r="A35" s="19">
        <v>32</v>
      </c>
      <c r="B35" s="20" t="s">
        <v>37</v>
      </c>
      <c r="C35" s="20" t="s">
        <v>38</v>
      </c>
      <c r="D35" s="24"/>
      <c r="E35" s="24">
        <v>0</v>
      </c>
      <c r="F35" s="24">
        <v>8</v>
      </c>
      <c r="G35" s="24">
        <f t="shared" si="1"/>
        <v>0</v>
      </c>
      <c r="H35" s="24">
        <v>0</v>
      </c>
      <c r="I35" s="36">
        <v>0</v>
      </c>
      <c r="J35" s="24">
        <v>0</v>
      </c>
    </row>
    <row r="36" s="1" customFormat="1" ht="22" customHeight="1" spans="4:10">
      <c r="D36" s="1" t="s">
        <v>67</v>
      </c>
      <c r="E36" s="24">
        <f>SUM(E4:E35)</f>
        <v>2763907.2</v>
      </c>
      <c r="F36" s="26"/>
      <c r="G36" s="27"/>
      <c r="H36" s="24">
        <f>SUM(H4:H35)</f>
        <v>267413.700188472</v>
      </c>
      <c r="I36" s="36">
        <f>SUM(I4:I35)</f>
        <v>34825.9826327436</v>
      </c>
      <c r="J36" s="24">
        <v>2886589.40463395</v>
      </c>
    </row>
    <row r="37" s="1" customFormat="1" ht="22" customHeight="1" spans="1:10">
      <c r="A37" s="28" t="s">
        <v>68</v>
      </c>
      <c r="B37" s="28"/>
      <c r="C37" s="28"/>
      <c r="D37" s="28"/>
      <c r="E37" s="28"/>
      <c r="F37" s="29"/>
      <c r="G37" s="7"/>
      <c r="H37" s="7"/>
      <c r="I37" s="8"/>
      <c r="J37" s="7"/>
    </row>
    <row r="38" s="1" customFormat="1" ht="22" customHeight="1" spans="1:10">
      <c r="A38" s="30" t="s">
        <v>59</v>
      </c>
      <c r="B38" s="30"/>
      <c r="C38" s="30"/>
      <c r="D38" s="30"/>
      <c r="E38" s="30"/>
      <c r="F38" s="30"/>
      <c r="G38" s="7"/>
      <c r="H38" s="7"/>
      <c r="I38" s="8"/>
      <c r="J38" s="7"/>
    </row>
    <row r="41" s="1" customFormat="1" spans="2:10">
      <c r="B41" s="4"/>
      <c r="E41" s="5"/>
      <c r="F41" s="6"/>
      <c r="G41" s="7"/>
      <c r="H41" s="7"/>
      <c r="I41" s="8"/>
      <c r="J41"/>
    </row>
    <row r="46" s="1" customFormat="1" spans="2:10">
      <c r="B46" s="4"/>
      <c r="E46" s="5"/>
      <c r="F46" s="6"/>
      <c r="G46" s="7"/>
      <c r="H46" s="7"/>
      <c r="I46" s="8"/>
      <c r="J46" s="37"/>
    </row>
  </sheetData>
  <mergeCells count="10">
    <mergeCell ref="A1:J1"/>
    <mergeCell ref="A37:F37"/>
    <mergeCell ref="A38:F38"/>
    <mergeCell ref="A2:A3"/>
    <mergeCell ref="B2:B3"/>
    <mergeCell ref="C2:C3"/>
    <mergeCell ref="F2:F3"/>
    <mergeCell ref="H2:H3"/>
    <mergeCell ref="I2:I3"/>
    <mergeCell ref="J2:J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杨武</cp:lastModifiedBy>
  <dcterms:created xsi:type="dcterms:W3CDTF">2006-09-13T11:21:00Z</dcterms:created>
  <dcterms:modified xsi:type="dcterms:W3CDTF">2025-05-20T02:48:53Z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FA2095725204448994CF206C8E519EE7</vt:lpwstr>
  </property>
  <property fmtid="{D5CDD505-2E9C-101B-9397-08002B2CF9AE}" pid="3" name="KSOProductBuildVer">
    <vt:lpwstr>2052-12.1.0.20784</vt:lpwstr>
  </property>
</Properties>
</file>